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2d0c4e12905ae1/Calculators/"/>
    </mc:Choice>
  </mc:AlternateContent>
  <xr:revisionPtr revIDLastSave="1" documentId="8_{B83C8048-8FCB-4070-A2E2-9883A4126E01}" xr6:coauthVersionLast="46" xr6:coauthVersionMax="46" xr10:uidLastSave="{71434DA2-5F0F-4E90-A40F-08DD59071405}"/>
  <bookViews>
    <workbookView xWindow="-120" yWindow="-120" windowWidth="29040" windowHeight="15840" xr2:uid="{1D79C997-97D0-4D40-BED7-D10DE80A5217}"/>
  </bookViews>
  <sheets>
    <sheet name="Procedure" sheetId="2" r:id="rId1"/>
    <sheet name="Calculato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7" i="1"/>
  <c r="C27" i="1"/>
  <c r="J25" i="1" l="1"/>
  <c r="I25" i="1"/>
  <c r="H25" i="1"/>
  <c r="G25" i="1"/>
  <c r="F25" i="1"/>
  <c r="E25" i="1"/>
  <c r="D25" i="1"/>
  <c r="C25" i="1"/>
  <c r="C10" i="1"/>
  <c r="G7" i="1"/>
  <c r="D7" i="1"/>
  <c r="I10" i="1"/>
  <c r="D28" i="1" s="1"/>
  <c r="D29" i="1" s="1"/>
  <c r="D30" i="1" s="1"/>
  <c r="J46" i="1"/>
  <c r="I46" i="1"/>
  <c r="H46" i="1"/>
  <c r="G46" i="1"/>
  <c r="F46" i="1"/>
  <c r="E46" i="1"/>
  <c r="D46" i="1"/>
  <c r="C46" i="1"/>
  <c r="J28" i="1" l="1"/>
  <c r="J29" i="1" s="1"/>
  <c r="J30" i="1" s="1"/>
  <c r="I28" i="1"/>
  <c r="I29" i="1" s="1"/>
  <c r="I30" i="1" s="1"/>
  <c r="G28" i="1"/>
  <c r="G29" i="1" s="1"/>
  <c r="G30" i="1" s="1"/>
  <c r="F28" i="1"/>
  <c r="F29" i="1" s="1"/>
  <c r="F30" i="1" s="1"/>
  <c r="C28" i="1"/>
  <c r="C29" i="1" s="1"/>
  <c r="C30" i="1" s="1"/>
  <c r="E28" i="1"/>
  <c r="E29" i="1" s="1"/>
  <c r="E30" i="1" s="1"/>
  <c r="H28" i="1"/>
  <c r="H29" i="1" s="1"/>
  <c r="H30" i="1" s="1"/>
  <c r="D44" i="1"/>
  <c r="D41" i="1"/>
  <c r="D38" i="1"/>
  <c r="H44" i="1"/>
  <c r="J44" i="1"/>
  <c r="E44" i="1"/>
  <c r="E41" i="1"/>
  <c r="E38" i="1"/>
  <c r="H41" i="1"/>
  <c r="I44" i="1"/>
  <c r="J38" i="1"/>
  <c r="C38" i="1"/>
  <c r="F44" i="1"/>
  <c r="F41" i="1"/>
  <c r="F38" i="1"/>
  <c r="I38" i="1"/>
  <c r="J41" i="1"/>
  <c r="C44" i="1"/>
  <c r="G44" i="1"/>
  <c r="G41" i="1"/>
  <c r="G38" i="1"/>
  <c r="H38" i="1"/>
  <c r="I41" i="1"/>
  <c r="C41" i="1"/>
  <c r="J7" i="1"/>
  <c r="I7" i="1" s="1"/>
  <c r="C59" i="1"/>
  <c r="C60" i="1" s="1"/>
  <c r="D59" i="1"/>
  <c r="D60" i="1" s="1"/>
  <c r="E59" i="1"/>
  <c r="E60" i="1" s="1"/>
  <c r="C55" i="1"/>
  <c r="D55" i="1"/>
  <c r="E55" i="1"/>
  <c r="C54" i="1"/>
  <c r="D54" i="1"/>
  <c r="E54" i="1"/>
  <c r="J48" i="1"/>
  <c r="J49" i="1" s="1"/>
  <c r="J50" i="1" s="1"/>
  <c r="J51" i="1" s="1"/>
  <c r="I48" i="1"/>
  <c r="I49" i="1" s="1"/>
  <c r="I50" i="1" s="1"/>
  <c r="I51" i="1" s="1"/>
  <c r="H48" i="1"/>
  <c r="H49" i="1" s="1"/>
  <c r="H50" i="1" s="1"/>
  <c r="H51" i="1" s="1"/>
  <c r="G48" i="1"/>
  <c r="G49" i="1" s="1"/>
  <c r="G50" i="1" s="1"/>
  <c r="G51" i="1" s="1"/>
  <c r="F48" i="1"/>
  <c r="F49" i="1" s="1"/>
  <c r="F50" i="1" s="1"/>
  <c r="F51" i="1" s="1"/>
  <c r="E48" i="1"/>
  <c r="E49" i="1" s="1"/>
  <c r="E50" i="1" s="1"/>
  <c r="E51" i="1" s="1"/>
  <c r="D48" i="1"/>
  <c r="D49" i="1" s="1"/>
  <c r="D50" i="1" s="1"/>
  <c r="D51" i="1" s="1"/>
  <c r="C48" i="1"/>
  <c r="C49" i="1" s="1"/>
  <c r="C50" i="1" s="1"/>
  <c r="C51" i="1" s="1"/>
  <c r="R35" i="1"/>
  <c r="E47" i="1" l="1"/>
  <c r="F47" i="1"/>
  <c r="J47" i="1"/>
  <c r="H47" i="1"/>
  <c r="G47" i="1"/>
  <c r="C47" i="1"/>
  <c r="I47" i="1"/>
  <c r="D47" i="1"/>
  <c r="D56" i="1"/>
  <c r="D57" i="1" s="1"/>
  <c r="I17" i="1"/>
  <c r="C56" i="1"/>
  <c r="C57" i="1" s="1"/>
  <c r="H17" i="1"/>
  <c r="D23" i="1"/>
  <c r="D26" i="1" s="1"/>
  <c r="D61" i="1"/>
  <c r="D17" i="1"/>
  <c r="E17" i="1"/>
  <c r="E61" i="1"/>
  <c r="E23" i="1"/>
  <c r="E26" i="1" s="1"/>
  <c r="D20" i="1"/>
  <c r="F23" i="1"/>
  <c r="F26" i="1" s="1"/>
  <c r="E20" i="1"/>
  <c r="G23" i="1"/>
  <c r="G26" i="1" s="1"/>
  <c r="F20" i="1"/>
  <c r="H23" i="1"/>
  <c r="H26" i="1" s="1"/>
  <c r="G20" i="1"/>
  <c r="I23" i="1"/>
  <c r="I26" i="1" s="1"/>
  <c r="E56" i="1"/>
  <c r="E57" i="1" s="1"/>
  <c r="F17" i="1"/>
  <c r="H20" i="1"/>
  <c r="G17" i="1"/>
  <c r="I20" i="1"/>
  <c r="R37" i="1"/>
  <c r="C61" i="1"/>
  <c r="J17" i="1"/>
  <c r="J20" i="1"/>
  <c r="J23" i="1"/>
  <c r="J26" i="1" s="1"/>
  <c r="C17" i="1"/>
  <c r="C20" i="1"/>
  <c r="C23" i="1"/>
  <c r="C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chatburn</author>
  </authors>
  <commentList>
    <comment ref="B29" authorId="0" shapeId="0" xr:uid="{7E183AD5-21A3-4DE5-8BA5-057CBD18AD73}">
      <text>
        <r>
          <rPr>
            <b/>
            <sz val="11"/>
            <color indexed="81"/>
            <rFont val="Tahoma"/>
            <charset val="1"/>
          </rPr>
          <t>zone alarm triggered when outlet pressure &lt; 45 PSI</t>
        </r>
        <r>
          <rPr>
            <sz val="11"/>
            <color indexed="81"/>
            <rFont val="Tahoma"/>
            <charset val="1"/>
          </rPr>
          <t xml:space="preserve">
</t>
        </r>
      </text>
    </comment>
    <comment ref="B30" authorId="0" shapeId="0" xr:uid="{84119620-53B6-4314-A605-D80D3DF24FF5}">
      <text>
        <r>
          <rPr>
            <b/>
            <sz val="11"/>
            <color indexed="81"/>
            <rFont val="Tahoma"/>
            <charset val="1"/>
          </rPr>
          <t>vent alarm triggered if outlet pressure &lt; value specified by vent manufacturer</t>
        </r>
        <r>
          <rPr>
            <sz val="11"/>
            <color indexed="81"/>
            <rFont val="Tahoma"/>
            <charset val="1"/>
          </rPr>
          <t xml:space="preserve">
</t>
        </r>
      </text>
    </comment>
    <comment ref="B50" authorId="0" shapeId="0" xr:uid="{59218A48-A938-4902-A01F-C181E047593C}">
      <text>
        <r>
          <rPr>
            <b/>
            <sz val="11"/>
            <color indexed="81"/>
            <rFont val="Tahoma"/>
            <charset val="1"/>
          </rPr>
          <t>zone alarm triggered when outlet pressure &lt; 45 PSI</t>
        </r>
        <r>
          <rPr>
            <sz val="11"/>
            <color indexed="81"/>
            <rFont val="Tahoma"/>
            <charset val="1"/>
          </rPr>
          <t xml:space="preserve">
</t>
        </r>
      </text>
    </comment>
    <comment ref="B51" authorId="0" shapeId="0" xr:uid="{3E9A4405-5A22-46A0-933C-587F9A9BEF70}">
      <text>
        <r>
          <rPr>
            <b/>
            <sz val="11"/>
            <color indexed="81"/>
            <rFont val="Tahoma"/>
            <charset val="1"/>
          </rPr>
          <t>vent alarm triggered if outlet pressure &lt; value specified by vent manufacturer</t>
        </r>
        <r>
          <rPr>
            <sz val="11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<sst xmlns="http://schemas.openxmlformats.org/spreadsheetml/2006/main" count="114" uniqueCount="77">
  <si>
    <t>Riser</t>
  </si>
  <si>
    <t>South</t>
  </si>
  <si>
    <t>Middle</t>
  </si>
  <si>
    <t>North</t>
  </si>
  <si>
    <t>Unit</t>
  </si>
  <si>
    <t>G60</t>
  </si>
  <si>
    <t>G50</t>
  </si>
  <si>
    <t>G51</t>
  </si>
  <si>
    <t>G61</t>
  </si>
  <si>
    <t>G52</t>
  </si>
  <si>
    <t>G62</t>
  </si>
  <si>
    <t>G53</t>
  </si>
  <si>
    <t>G54</t>
  </si>
  <si>
    <t>Number of beds per unit</t>
  </si>
  <si>
    <t>Riser Pipe Size (inches)</t>
  </si>
  <si>
    <t>Riser served from</t>
  </si>
  <si>
    <t>Maximum Capacity in Riser (LPM)</t>
  </si>
  <si>
    <t>Zone Valve Pipe Size (inches)</t>
  </si>
  <si>
    <t>Outlet Pipe Size (inches)</t>
  </si>
  <si>
    <t>Pipe resistance (PSI/L/min</t>
  </si>
  <si>
    <t>Pressure drop at assumed flow per bed</t>
  </si>
  <si>
    <t>Total flow at assumed flow/bed</t>
  </si>
  <si>
    <t xml:space="preserve">Middle </t>
  </si>
  <si>
    <t>Total Capacity of the Riser for Med Air</t>
  </si>
  <si>
    <t>Capacity of Beds that can be served per Med Air Riser at assumed flow/bed</t>
  </si>
  <si>
    <t>Percentage of Beds that can be served per Med Air Riser at assumed flow/bed</t>
  </si>
  <si>
    <t>Total Capacity of the Riser for Oxygen</t>
  </si>
  <si>
    <t>Capacity of Beds that can be served per Oxygen Riser at assumed flow/bed</t>
  </si>
  <si>
    <t>Percentage of Beds that can be served per Oxygen Riser at assumed flow/bed</t>
  </si>
  <si>
    <t>Assumptions</t>
  </si>
  <si>
    <t>For same pressure drop (1.06 PSIG), flow is lower for oxygen than air (660 vs 700)  because it has higher viscosity</t>
  </si>
  <si>
    <t xml:space="preserve">Piping </t>
  </si>
  <si>
    <t>1. From main through riser (1.25") to zone valve</t>
  </si>
  <si>
    <t>2. From zone valve through zone line (0.75") to hospital wing</t>
  </si>
  <si>
    <t>3. From zone line through outlet line  (0.50") to bed outlet</t>
  </si>
  <si>
    <t>Number of beds in Unit</t>
  </si>
  <si>
    <t>Assumed Air flow per bed (L/min)</t>
  </si>
  <si>
    <t>Assumed Oxygen flow per bed (L/min)</t>
  </si>
  <si>
    <t>Minute Ventilation (LPM)/Ventilator</t>
  </si>
  <si>
    <t>Medical Air</t>
  </si>
  <si>
    <t>Medical Oxygen</t>
  </si>
  <si>
    <t>Riser = 1.25" - this is the size of the pipe running up the building riser</t>
  </si>
  <si>
    <t>Percentage of Beds supported at 49 PSI</t>
  </si>
  <si>
    <t>Air Riser</t>
  </si>
  <si>
    <t>Oxygen Riser</t>
  </si>
  <si>
    <t>Number of beds in ICUs served by each Riser</t>
  </si>
  <si>
    <t>The maximum distance from the zone valve is 100 ft</t>
  </si>
  <si>
    <t>Outlet pressure (PSIG) at Zone Valve</t>
  </si>
  <si>
    <t>Outlet pressure (PSIG) at bed</t>
  </si>
  <si>
    <t>Target Pressure (PSI) at Zone Valve Box Inlet</t>
  </si>
  <si>
    <t>Maximum Number of Beds per Riser</t>
  </si>
  <si>
    <t>Maximum Number of Beds per Zone Valve from Riser</t>
  </si>
  <si>
    <t>Maximum Number of Beds per Outlet Pipe from Zone Valve</t>
  </si>
  <si>
    <r>
      <t>FiO</t>
    </r>
    <r>
      <rPr>
        <b/>
        <vertAlign val="subscript"/>
        <sz val="11"/>
        <color theme="0" tint="-0.499984740745262"/>
        <rFont val="Calibri"/>
        <family val="2"/>
        <scheme val="minor"/>
      </rPr>
      <t>2</t>
    </r>
  </si>
  <si>
    <r>
      <t xml:space="preserve">Air </t>
    </r>
    <r>
      <rPr>
        <sz val="11"/>
        <color theme="0" tint="-0.499984740745262"/>
        <rFont val="Calibri"/>
        <family val="2"/>
        <scheme val="minor"/>
      </rPr>
      <t>(LPM)</t>
    </r>
  </si>
  <si>
    <r>
      <t>O</t>
    </r>
    <r>
      <rPr>
        <b/>
        <vertAlign val="subscript"/>
        <sz val="11"/>
        <color theme="0" tint="-0.499984740745262"/>
        <rFont val="Calibri"/>
        <family val="2"/>
        <scheme val="minor"/>
      </rPr>
      <t>2</t>
    </r>
    <r>
      <rPr>
        <b/>
        <sz val="11"/>
        <color theme="0" tint="-0.499984740745262"/>
        <rFont val="Calibri"/>
        <family val="2"/>
        <scheme val="minor"/>
      </rPr>
      <t xml:space="preserve"> </t>
    </r>
    <r>
      <rPr>
        <sz val="11"/>
        <color theme="0" tint="-0.499984740745262"/>
        <rFont val="Calibri"/>
        <family val="2"/>
        <scheme val="minor"/>
      </rPr>
      <t>(LPM)</t>
    </r>
  </si>
  <si>
    <t>Zone valve pipe  = 0.75" - This is the size of the pipe from the zone valve out in to the wing</t>
  </si>
  <si>
    <t>Outlet pipe  = 0.50" - runs from wing line to bed outlet</t>
  </si>
  <si>
    <t>Maximum Capcity Through Outlet Pipe (LPM - 1.06 PSI pressure drop)</t>
  </si>
  <si>
    <t>Maximum Capacity through Zone Valve (LPM - 1.06 PSI pressure drop)</t>
  </si>
  <si>
    <t>Step</t>
  </si>
  <si>
    <t>Obtain medical gas piping data from facilities engineering</t>
  </si>
  <si>
    <t>Create list of ICU with number of beds in each unit</t>
  </si>
  <si>
    <t>Identify the number of risers supplying each ICU</t>
  </si>
  <si>
    <t>Enter riser diameter</t>
  </si>
  <si>
    <t xml:space="preserve">User Action </t>
  </si>
  <si>
    <t>Software Action</t>
  </si>
  <si>
    <t>Lookup flow capacity and PSI drop per 100 ft</t>
  </si>
  <si>
    <t>Calculate maximum # beds per riser</t>
  </si>
  <si>
    <t>Enter zone valve pipe diameter</t>
  </si>
  <si>
    <t>Enter outlet pipe diameter</t>
  </si>
  <si>
    <t>Calculate maximum # beds per zone valve</t>
  </si>
  <si>
    <t>Calculate maximum # beds per outlet pipe</t>
  </si>
  <si>
    <t>Percentage of Beds supported at 48 PSI</t>
  </si>
  <si>
    <t>Calculate % of Beds supported at 48 PSI</t>
  </si>
  <si>
    <t>Calculate o\utlet pressure (PSIG) at Zone Valve</t>
  </si>
  <si>
    <t>Calculate outlet pressure (PSIG) at 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</si>
</sst>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indexed="81"/>
      <name val="Tahoma"/>
      <charset val="1"/>
    </font>
    <font>
      <b/>
      <sz val="11"/>
      <color indexed="81"/>
      <name val="Tahoma"/>
      <charset val="1"/>
    </font>
    <font>
      <b/>
      <sz val="11"/>
      <color theme="0" tint="-0.499984740745262"/>
      <name val="Calibri"/>
      <family val="2"/>
      <scheme val="minor"/>
    </font>
    <font>
      <b/>
      <vertAlign val="subscript"/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9" fontId="3" fillId="0" borderId="14" xfId="1" applyFont="1" applyBorder="1" applyAlignment="1">
      <alignment horizontal="center"/>
    </xf>
    <xf numFmtId="9" fontId="3" fillId="0" borderId="15" xfId="1" applyFont="1" applyBorder="1" applyAlignment="1">
      <alignment horizontal="center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5" fillId="0" borderId="0" xfId="1" applyFont="1" applyAlignment="1">
      <alignment horizontal="center"/>
    </xf>
    <xf numFmtId="9" fontId="3" fillId="0" borderId="0" xfId="1" applyFont="1" applyAlignment="1">
      <alignment horizontal="center"/>
    </xf>
    <xf numFmtId="0" fontId="0" fillId="0" borderId="0" xfId="0" applyAlignment="1">
      <alignment horizontal="left" vertical="center" indent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indent="1"/>
    </xf>
    <xf numFmtId="0" fontId="3" fillId="0" borderId="0" xfId="0" applyFont="1" applyAlignment="1"/>
    <xf numFmtId="1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5" fillId="0" borderId="14" xfId="1" applyFont="1" applyBorder="1" applyAlignment="1">
      <alignment horizontal="center"/>
    </xf>
    <xf numFmtId="9" fontId="5" fillId="0" borderId="15" xfId="1" applyFont="1" applyBorder="1" applyAlignment="1">
      <alignment horizontal="center"/>
    </xf>
    <xf numFmtId="0" fontId="7" fillId="0" borderId="10" xfId="0" applyFont="1" applyBorder="1" applyAlignment="1">
      <alignment horizontal="left" inden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 indent="1"/>
    </xf>
    <xf numFmtId="0" fontId="7" fillId="0" borderId="16" xfId="0" applyFont="1" applyBorder="1" applyAlignment="1">
      <alignment horizontal="left" indent="1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indent="1"/>
    </xf>
    <xf numFmtId="1" fontId="3" fillId="0" borderId="17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indent="1"/>
    </xf>
    <xf numFmtId="1" fontId="5" fillId="0" borderId="0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23"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D$10" max="25" min="1" page="10" val="10"/>
</file>

<file path=xl/ctrlProps/ctrlProp2.xml><?xml version="1.0" encoding="utf-8"?>
<formControlPr xmlns="http://schemas.microsoft.com/office/spreadsheetml/2009/9/main" objectType="Spin" dx="16" fmlaLink="$J$10" inc="5" max="60" min="5" page="10" val="60"/>
</file>

<file path=xl/ctrlProps/ctrlProp3.xml><?xml version="1.0" encoding="utf-8"?>
<formControlPr xmlns="http://schemas.microsoft.com/office/spreadsheetml/2009/9/main" objectType="Spin" dx="16" fmlaLink="$E$7" max="25" min="1" page="10" val="10"/>
</file>

<file path=xl/ctrlProps/ctrlProp4.xml><?xml version="1.0" encoding="utf-8"?>
<formControlPr xmlns="http://schemas.microsoft.com/office/spreadsheetml/2009/9/main" objectType="Spin" dx="16" fmlaLink="$H$7" inc="5" max="100" min="20" page="10" val="45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3</xdr:row>
      <xdr:rowOff>76200</xdr:rowOff>
    </xdr:from>
    <xdr:to>
      <xdr:col>14</xdr:col>
      <xdr:colOff>588086</xdr:colOff>
      <xdr:row>21</xdr:row>
      <xdr:rowOff>47625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1461A4D1-F6C7-47E2-A18F-3CBB7DB64C03}"/>
            </a:ext>
          </a:extLst>
        </xdr:cNvPr>
        <xdr:cNvGrpSpPr/>
      </xdr:nvGrpSpPr>
      <xdr:grpSpPr>
        <a:xfrm>
          <a:off x="8372475" y="647700"/>
          <a:ext cx="5817311" cy="3400425"/>
          <a:chOff x="11896726" y="13030199"/>
          <a:chExt cx="5817311" cy="34004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Object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E9EE772D-F640-4DF2-AD4D-88245AF6D065}"/>
                  </a:ext>
                </a:extLst>
              </xdr:cNvPr>
              <xdr:cNvSpPr/>
            </xdr:nvSpPr>
            <xdr:spPr bwMode="auto">
              <a:xfrm>
                <a:off x="12144375" y="13030199"/>
                <a:ext cx="5569662" cy="34004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ffectLst/>
              <a:extLst>
                <a:ext uri="{91240B29-F687-4F45-9708-019B960494DF}">
                  <a14:hiddenLine w="9525" cap="flat" cmpd="sng">
                    <a:solidFill>
                      <a:srgbClr val="000000" mc:Ignorable="a14" a14:legacySpreadsheetColorIndex="64"/>
                    </a:solidFill>
                    <a:prstDash val="solid"/>
                    <a:miter lim="800000"/>
                    <a:headEnd/>
                    <a:tailEnd type="none" w="med" len="med"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mc:Choice>
        <mc:Fallback/>
      </mc:AlternateContent>
      <xdr:sp macro="" textlink="">
        <xdr:nvSpPr>
          <xdr:cNvPr id="10" name="Speech Bubble: Rectangle with Corners Rounded 9">
            <a:extLst>
              <a:ext uri="{FF2B5EF4-FFF2-40B4-BE49-F238E27FC236}">
                <a16:creationId xmlns:a16="http://schemas.microsoft.com/office/drawing/2014/main" id="{37610B14-6072-47D9-8AF7-1139D5828AD9}"/>
              </a:ext>
            </a:extLst>
          </xdr:cNvPr>
          <xdr:cNvSpPr/>
        </xdr:nvSpPr>
        <xdr:spPr>
          <a:xfrm>
            <a:off x="13049250" y="13306425"/>
            <a:ext cx="523875" cy="381000"/>
          </a:xfrm>
          <a:prstGeom prst="wedgeRoundRectCallout">
            <a:avLst>
              <a:gd name="adj1" fmla="val 299112"/>
              <a:gd name="adj2" fmla="val 70000"/>
              <a:gd name="adj3" fmla="val 16667"/>
            </a:avLst>
          </a:prstGeom>
          <a:solidFill>
            <a:srgbClr val="FFFFB7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>
                <a:solidFill>
                  <a:schemeClr val="tx1"/>
                </a:solidFill>
              </a:rPr>
              <a:t>riser</a:t>
            </a:r>
          </a:p>
        </xdr:txBody>
      </xdr:sp>
      <xdr:sp macro="" textlink="">
        <xdr:nvSpPr>
          <xdr:cNvPr id="11" name="Speech Bubble: Rectangle with Corners Rounded 10">
            <a:extLst>
              <a:ext uri="{FF2B5EF4-FFF2-40B4-BE49-F238E27FC236}">
                <a16:creationId xmlns:a16="http://schemas.microsoft.com/office/drawing/2014/main" id="{2AB937F7-3864-4591-A57C-0298CF8ECE6F}"/>
              </a:ext>
            </a:extLst>
          </xdr:cNvPr>
          <xdr:cNvSpPr/>
        </xdr:nvSpPr>
        <xdr:spPr>
          <a:xfrm>
            <a:off x="11896726" y="14735174"/>
            <a:ext cx="876300" cy="504825"/>
          </a:xfrm>
          <a:prstGeom prst="wedgeRoundRectCallout">
            <a:avLst>
              <a:gd name="adj1" fmla="val 120851"/>
              <a:gd name="adj2" fmla="val 70000"/>
              <a:gd name="adj3" fmla="val 16667"/>
            </a:avLst>
          </a:prstGeom>
          <a:solidFill>
            <a:srgbClr val="FFFFB7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>
                <a:solidFill>
                  <a:schemeClr val="tx1"/>
                </a:solidFill>
              </a:rPr>
              <a:t>zone valve pipe</a:t>
            </a:r>
          </a:p>
        </xdr:txBody>
      </xdr:sp>
      <xdr:sp macro="" textlink="">
        <xdr:nvSpPr>
          <xdr:cNvPr id="12" name="Speech Bubble: Rectangle with Corners Rounded 11">
            <a:extLst>
              <a:ext uri="{FF2B5EF4-FFF2-40B4-BE49-F238E27FC236}">
                <a16:creationId xmlns:a16="http://schemas.microsoft.com/office/drawing/2014/main" id="{51BA52C9-A540-4E42-B5F3-4BA261C10403}"/>
              </a:ext>
            </a:extLst>
          </xdr:cNvPr>
          <xdr:cNvSpPr/>
        </xdr:nvSpPr>
        <xdr:spPr>
          <a:xfrm>
            <a:off x="13992227" y="14754225"/>
            <a:ext cx="876300" cy="381000"/>
          </a:xfrm>
          <a:prstGeom prst="wedgeRoundRectCallout">
            <a:avLst>
              <a:gd name="adj1" fmla="val -60671"/>
              <a:gd name="adj2" fmla="val 140000"/>
              <a:gd name="adj3" fmla="val 16667"/>
            </a:avLst>
          </a:prstGeom>
          <a:solidFill>
            <a:srgbClr val="FFFFB7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>
                <a:solidFill>
                  <a:schemeClr val="tx1"/>
                </a:solidFill>
              </a:rPr>
              <a:t>outlet</a:t>
            </a:r>
            <a:r>
              <a:rPr lang="en-US" sz="1100" baseline="0">
                <a:solidFill>
                  <a:schemeClr val="tx1"/>
                </a:solidFill>
              </a:rPr>
              <a:t> pipe</a:t>
            </a:r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310221</xdr:colOff>
      <xdr:row>6</xdr:row>
      <xdr:rowOff>173934</xdr:rowOff>
    </xdr:from>
    <xdr:to>
      <xdr:col>17</xdr:col>
      <xdr:colOff>50449</xdr:colOff>
      <xdr:row>13</xdr:row>
      <xdr:rowOff>25947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9438" y="1374912"/>
          <a:ext cx="3417707" cy="1226926"/>
        </a:xfrm>
        <a:prstGeom prst="rect">
          <a:avLst/>
        </a:prstGeom>
      </xdr:spPr>
    </xdr:pic>
    <xdr:clientData/>
  </xdr:twoCellAnchor>
  <xdr:twoCellAnchor editAs="oneCell">
    <xdr:from>
      <xdr:col>11</xdr:col>
      <xdr:colOff>303067</xdr:colOff>
      <xdr:row>14</xdr:row>
      <xdr:rowOff>121227</xdr:rowOff>
    </xdr:from>
    <xdr:to>
      <xdr:col>17</xdr:col>
      <xdr:colOff>17319</xdr:colOff>
      <xdr:row>22</xdr:row>
      <xdr:rowOff>9774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42467" y="2235777"/>
          <a:ext cx="3371852" cy="1412547"/>
        </a:xfrm>
        <a:prstGeom prst="rect">
          <a:avLst/>
        </a:prstGeom>
      </xdr:spPr>
    </xdr:pic>
    <xdr:clientData/>
  </xdr:twoCellAnchor>
  <xdr:twoCellAnchor editAs="oneCell">
    <xdr:from>
      <xdr:col>11</xdr:col>
      <xdr:colOff>273617</xdr:colOff>
      <xdr:row>31</xdr:row>
      <xdr:rowOff>100896</xdr:rowOff>
    </xdr:from>
    <xdr:to>
      <xdr:col>16</xdr:col>
      <xdr:colOff>596346</xdr:colOff>
      <xdr:row>37</xdr:row>
      <xdr:rowOff>66260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42834" y="5550853"/>
          <a:ext cx="3387295" cy="1108364"/>
        </a:xfrm>
        <a:prstGeom prst="rect">
          <a:avLst/>
        </a:prstGeom>
      </xdr:spPr>
    </xdr:pic>
    <xdr:clientData/>
  </xdr:twoCellAnchor>
  <xdr:twoCellAnchor editAs="oneCell">
    <xdr:from>
      <xdr:col>11</xdr:col>
      <xdr:colOff>251083</xdr:colOff>
      <xdr:row>38</xdr:row>
      <xdr:rowOff>20705</xdr:rowOff>
    </xdr:from>
    <xdr:to>
      <xdr:col>16</xdr:col>
      <xdr:colOff>597478</xdr:colOff>
      <xdr:row>46</xdr:row>
      <xdr:rowOff>82099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720300" y="6804162"/>
          <a:ext cx="3410961" cy="15936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561975</xdr:colOff>
          <xdr:row>8</xdr:row>
          <xdr:rowOff>142875</xdr:rowOff>
        </xdr:from>
        <xdr:to>
          <xdr:col>3</xdr:col>
          <xdr:colOff>257175</xdr:colOff>
          <xdr:row>10</xdr:row>
          <xdr:rowOff>66675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125536</xdr:colOff>
      <xdr:row>48</xdr:row>
      <xdr:rowOff>22430</xdr:rowOff>
    </xdr:from>
    <xdr:to>
      <xdr:col>22</xdr:col>
      <xdr:colOff>535360</xdr:colOff>
      <xdr:row>65</xdr:row>
      <xdr:rowOff>24848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594753" y="8536952"/>
          <a:ext cx="7151868" cy="32492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8</xdr:row>
          <xdr:rowOff>133350</xdr:rowOff>
        </xdr:from>
        <xdr:to>
          <xdr:col>9</xdr:col>
          <xdr:colOff>495300</xdr:colOff>
          <xdr:row>10</xdr:row>
          <xdr:rowOff>57150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5</xdr:row>
          <xdr:rowOff>171450</xdr:rowOff>
        </xdr:from>
        <xdr:to>
          <xdr:col>4</xdr:col>
          <xdr:colOff>247650</xdr:colOff>
          <xdr:row>7</xdr:row>
          <xdr:rowOff>95250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</xdr:row>
          <xdr:rowOff>152400</xdr:rowOff>
        </xdr:from>
        <xdr:to>
          <xdr:col>7</xdr:col>
          <xdr:colOff>314325</xdr:colOff>
          <xdr:row>7</xdr:row>
          <xdr:rowOff>76200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257176</xdr:colOff>
      <xdr:row>71</xdr:row>
      <xdr:rowOff>114299</xdr:rowOff>
    </xdr:from>
    <xdr:to>
      <xdr:col>16</xdr:col>
      <xdr:colOff>588087</xdr:colOff>
      <xdr:row>89</xdr:row>
      <xdr:rowOff>85724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396A924-BF81-4A7D-855A-B6805F43CFA0}"/>
            </a:ext>
          </a:extLst>
        </xdr:cNvPr>
        <xdr:cNvGrpSpPr/>
      </xdr:nvGrpSpPr>
      <xdr:grpSpPr>
        <a:xfrm>
          <a:off x="8258176" y="13792199"/>
          <a:ext cx="5817311" cy="3400425"/>
          <a:chOff x="11896726" y="13030199"/>
          <a:chExt cx="5817311" cy="34004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Object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E9EE772D-F640-4DF2-AD4D-88245AF6D065}"/>
                  </a:ext>
                </a:extLst>
              </xdr:cNvPr>
              <xdr:cNvSpPr/>
            </xdr:nvSpPr>
            <xdr:spPr bwMode="auto">
              <a:xfrm>
                <a:off x="12144375" y="13030199"/>
                <a:ext cx="5569662" cy="3400425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ffectLst/>
              <a:extLst>
                <a:ext uri="{91240B29-F687-4F45-9708-019B960494DF}">
                  <a14:hiddenLine w="9525" cap="flat" cmpd="sng">
                    <a:solidFill>
                      <a:srgbClr val="000000" mc:Ignorable="a14" a14:legacySpreadsheetColorIndex="64"/>
                    </a:solidFill>
                    <a:prstDash val="solid"/>
                    <a:miter lim="800000"/>
                    <a:headEnd/>
                    <a:tailEnd type="none" w="med" len="med"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mc:Choice>
        <mc:Fallback/>
      </mc:AlternateContent>
      <xdr:sp macro="" textlink="">
        <xdr:nvSpPr>
          <xdr:cNvPr id="10" name="Speech Bubble: Rectangle with Corners Rounded 9">
            <a:extLst>
              <a:ext uri="{FF2B5EF4-FFF2-40B4-BE49-F238E27FC236}">
                <a16:creationId xmlns:a16="http://schemas.microsoft.com/office/drawing/2014/main" id="{294930F8-0D73-4637-9A20-07ACE2A1CB68}"/>
              </a:ext>
            </a:extLst>
          </xdr:cNvPr>
          <xdr:cNvSpPr/>
        </xdr:nvSpPr>
        <xdr:spPr>
          <a:xfrm>
            <a:off x="13049250" y="13306425"/>
            <a:ext cx="523875" cy="381000"/>
          </a:xfrm>
          <a:prstGeom prst="wedgeRoundRectCallout">
            <a:avLst>
              <a:gd name="adj1" fmla="val 299112"/>
              <a:gd name="adj2" fmla="val 70000"/>
              <a:gd name="adj3" fmla="val 16667"/>
            </a:avLst>
          </a:prstGeom>
          <a:solidFill>
            <a:srgbClr val="FFFFB7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>
                <a:solidFill>
                  <a:schemeClr val="tx1"/>
                </a:solidFill>
              </a:rPr>
              <a:t>riser</a:t>
            </a:r>
          </a:p>
        </xdr:txBody>
      </xdr:sp>
      <xdr:sp macro="" textlink="">
        <xdr:nvSpPr>
          <xdr:cNvPr id="19" name="Speech Bubble: Rectangle with Corners Rounded 18">
            <a:extLst>
              <a:ext uri="{FF2B5EF4-FFF2-40B4-BE49-F238E27FC236}">
                <a16:creationId xmlns:a16="http://schemas.microsoft.com/office/drawing/2014/main" id="{3143F606-D410-4667-A147-AD7CAFBB2D76}"/>
              </a:ext>
            </a:extLst>
          </xdr:cNvPr>
          <xdr:cNvSpPr/>
        </xdr:nvSpPr>
        <xdr:spPr>
          <a:xfrm>
            <a:off x="11896726" y="14735174"/>
            <a:ext cx="876300" cy="504825"/>
          </a:xfrm>
          <a:prstGeom prst="wedgeRoundRectCallout">
            <a:avLst>
              <a:gd name="adj1" fmla="val 120851"/>
              <a:gd name="adj2" fmla="val 70000"/>
              <a:gd name="adj3" fmla="val 16667"/>
            </a:avLst>
          </a:prstGeom>
          <a:solidFill>
            <a:srgbClr val="FFFFB7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>
                <a:solidFill>
                  <a:schemeClr val="tx1"/>
                </a:solidFill>
              </a:rPr>
              <a:t>zone valve pipe</a:t>
            </a:r>
          </a:p>
        </xdr:txBody>
      </xdr:sp>
      <xdr:sp macro="" textlink="">
        <xdr:nvSpPr>
          <xdr:cNvPr id="20" name="Speech Bubble: Rectangle with Corners Rounded 19">
            <a:extLst>
              <a:ext uri="{FF2B5EF4-FFF2-40B4-BE49-F238E27FC236}">
                <a16:creationId xmlns:a16="http://schemas.microsoft.com/office/drawing/2014/main" id="{3409030F-4EFC-4DBA-9377-9AAD0A1D947C}"/>
              </a:ext>
            </a:extLst>
          </xdr:cNvPr>
          <xdr:cNvSpPr/>
        </xdr:nvSpPr>
        <xdr:spPr>
          <a:xfrm>
            <a:off x="13992227" y="14754225"/>
            <a:ext cx="876300" cy="381000"/>
          </a:xfrm>
          <a:prstGeom prst="wedgeRoundRectCallout">
            <a:avLst>
              <a:gd name="adj1" fmla="val -60671"/>
              <a:gd name="adj2" fmla="val 140000"/>
              <a:gd name="adj3" fmla="val 16667"/>
            </a:avLst>
          </a:prstGeom>
          <a:solidFill>
            <a:srgbClr val="FFFFB7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>
                <a:solidFill>
                  <a:schemeClr val="tx1"/>
                </a:solidFill>
              </a:rPr>
              <a:t>outlet</a:t>
            </a:r>
            <a:r>
              <a:rPr lang="en-US" sz="1100" baseline="0">
                <a:solidFill>
                  <a:schemeClr val="tx1"/>
                </a:solidFill>
              </a:rPr>
              <a:t> pipe</a:t>
            </a:r>
            <a:endParaRPr lang="en-US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.vsdx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package" Target="../embeddings/Microsoft_Visio_Drawing1.vsdx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621C7-8E63-45F4-85FA-DE8DD147AB43}">
  <dimension ref="B3:D15"/>
  <sheetViews>
    <sheetView showGridLines="0" showRowColHeaders="0" tabSelected="1" workbookViewId="0">
      <selection activeCell="C32" sqref="C32"/>
    </sheetView>
  </sheetViews>
  <sheetFormatPr defaultRowHeight="15" x14ac:dyDescent="0.25"/>
  <cols>
    <col min="2" max="2" width="6.5703125" style="45" customWidth="1"/>
    <col min="3" max="3" width="55" customWidth="1"/>
    <col min="4" max="4" width="41.85546875" customWidth="1"/>
  </cols>
  <sheetData>
    <row r="3" spans="2:4" x14ac:dyDescent="0.25">
      <c r="B3" s="4" t="s">
        <v>60</v>
      </c>
      <c r="C3" s="4" t="s">
        <v>65</v>
      </c>
      <c r="D3" s="4" t="s">
        <v>66</v>
      </c>
    </row>
    <row r="4" spans="2:4" x14ac:dyDescent="0.25">
      <c r="B4" s="45">
        <v>1</v>
      </c>
      <c r="C4" t="s">
        <v>62</v>
      </c>
    </row>
    <row r="5" spans="2:4" x14ac:dyDescent="0.25">
      <c r="B5" s="45">
        <v>2</v>
      </c>
      <c r="C5" t="s">
        <v>61</v>
      </c>
    </row>
    <row r="6" spans="2:4" x14ac:dyDescent="0.25">
      <c r="B6" s="45">
        <v>3</v>
      </c>
      <c r="C6" t="s">
        <v>63</v>
      </c>
    </row>
    <row r="7" spans="2:4" x14ac:dyDescent="0.25">
      <c r="B7" s="45">
        <v>4</v>
      </c>
      <c r="C7" t="s">
        <v>64</v>
      </c>
      <c r="D7" t="s">
        <v>67</v>
      </c>
    </row>
    <row r="8" spans="2:4" x14ac:dyDescent="0.25">
      <c r="D8" t="s">
        <v>68</v>
      </c>
    </row>
    <row r="9" spans="2:4" x14ac:dyDescent="0.25">
      <c r="B9" s="45">
        <v>5</v>
      </c>
      <c r="C9" t="s">
        <v>69</v>
      </c>
      <c r="D9" t="s">
        <v>67</v>
      </c>
    </row>
    <row r="10" spans="2:4" x14ac:dyDescent="0.25">
      <c r="D10" t="s">
        <v>71</v>
      </c>
    </row>
    <row r="11" spans="2:4" x14ac:dyDescent="0.25">
      <c r="B11" s="45">
        <v>6</v>
      </c>
      <c r="C11" t="s">
        <v>70</v>
      </c>
      <c r="D11" t="s">
        <v>67</v>
      </c>
    </row>
    <row r="12" spans="2:4" x14ac:dyDescent="0.25">
      <c r="D12" t="s">
        <v>72</v>
      </c>
    </row>
    <row r="13" spans="2:4" x14ac:dyDescent="0.25">
      <c r="D13" t="s">
        <v>74</v>
      </c>
    </row>
    <row r="14" spans="2:4" x14ac:dyDescent="0.25">
      <c r="D14" t="s">
        <v>75</v>
      </c>
    </row>
    <row r="15" spans="2:4" x14ac:dyDescent="0.25">
      <c r="D15" t="s">
        <v>76</v>
      </c>
    </row>
  </sheetData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Visio.Drawing.15" shapeId="2050" r:id="rId4">
          <objectPr defaultSize="0" autoPict="0" r:id="rId5">
            <anchor moveWithCells="1">
              <from>
                <xdr:col>5</xdr:col>
                <xdr:colOff>504825</xdr:colOff>
                <xdr:row>3</xdr:row>
                <xdr:rowOff>76200</xdr:rowOff>
              </from>
              <to>
                <xdr:col>14</xdr:col>
                <xdr:colOff>590550</xdr:colOff>
                <xdr:row>21</xdr:row>
                <xdr:rowOff>47625</xdr:rowOff>
              </to>
            </anchor>
          </objectPr>
        </oleObject>
      </mc:Choice>
      <mc:Fallback>
        <oleObject progId="Visio.Drawing.15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5467B-EA3D-49FF-8775-E5CDEABA125C}">
  <dimension ref="B1:R79"/>
  <sheetViews>
    <sheetView showGridLines="0" topLeftCell="A34" zoomScaleNormal="100" workbookViewId="0">
      <selection activeCell="B50" sqref="B50:B51"/>
    </sheetView>
  </sheetViews>
  <sheetFormatPr defaultRowHeight="15" x14ac:dyDescent="0.25"/>
  <cols>
    <col min="1" max="1" width="3.28515625" customWidth="1"/>
    <col min="2" max="2" width="71" customWidth="1"/>
    <col min="3" max="10" width="9.140625" style="1"/>
  </cols>
  <sheetData>
    <row r="1" spans="2:17" ht="15.75" thickBot="1" x14ac:dyDescent="0.3"/>
    <row r="2" spans="2:17" x14ac:dyDescent="0.25">
      <c r="B2" s="2" t="s">
        <v>0</v>
      </c>
      <c r="C2" s="65" t="s">
        <v>1</v>
      </c>
      <c r="D2" s="66"/>
      <c r="E2" s="67"/>
      <c r="F2" s="65" t="s">
        <v>2</v>
      </c>
      <c r="G2" s="67"/>
      <c r="H2" s="65" t="s">
        <v>3</v>
      </c>
      <c r="I2" s="66"/>
      <c r="J2" s="67"/>
    </row>
    <row r="3" spans="2:17" x14ac:dyDescent="0.25">
      <c r="B3" s="2" t="s">
        <v>4</v>
      </c>
      <c r="C3" s="19" t="s">
        <v>5</v>
      </c>
      <c r="D3" s="20" t="s">
        <v>6</v>
      </c>
      <c r="E3" s="21" t="s">
        <v>7</v>
      </c>
      <c r="F3" s="19" t="s">
        <v>8</v>
      </c>
      <c r="G3" s="21" t="s">
        <v>9</v>
      </c>
      <c r="H3" s="19" t="s">
        <v>10</v>
      </c>
      <c r="I3" s="20" t="s">
        <v>11</v>
      </c>
      <c r="J3" s="21" t="s">
        <v>12</v>
      </c>
    </row>
    <row r="4" spans="2:17" ht="15.75" thickBot="1" x14ac:dyDescent="0.3">
      <c r="B4" s="2" t="s">
        <v>13</v>
      </c>
      <c r="C4" s="22">
        <v>8</v>
      </c>
      <c r="D4" s="23">
        <v>10</v>
      </c>
      <c r="E4" s="24">
        <v>11</v>
      </c>
      <c r="F4" s="22">
        <v>17</v>
      </c>
      <c r="G4" s="24">
        <v>10</v>
      </c>
      <c r="H4" s="22">
        <v>18</v>
      </c>
      <c r="I4" s="23">
        <v>10</v>
      </c>
      <c r="J4" s="24">
        <v>10</v>
      </c>
      <c r="L4" s="64"/>
      <c r="M4" s="64"/>
      <c r="N4" s="64"/>
      <c r="O4" s="64"/>
      <c r="P4" s="64"/>
      <c r="Q4" s="64"/>
    </row>
    <row r="5" spans="2:17" x14ac:dyDescent="0.25">
      <c r="C5"/>
      <c r="D5"/>
      <c r="E5"/>
      <c r="F5"/>
      <c r="G5"/>
      <c r="H5"/>
      <c r="I5"/>
      <c r="J5"/>
    </row>
    <row r="6" spans="2:17" ht="18" x14ac:dyDescent="0.35">
      <c r="B6" s="46"/>
      <c r="C6" s="46"/>
      <c r="D6" s="46"/>
      <c r="E6" s="46"/>
      <c r="F6" s="46"/>
      <c r="G6" s="46"/>
      <c r="H6" s="46"/>
      <c r="I6" s="47" t="s">
        <v>54</v>
      </c>
      <c r="J6" s="47" t="s">
        <v>55</v>
      </c>
    </row>
    <row r="7" spans="2:17" ht="18" x14ac:dyDescent="0.35">
      <c r="B7" s="46"/>
      <c r="C7" s="48" t="s">
        <v>38</v>
      </c>
      <c r="D7" s="49">
        <f>E7</f>
        <v>10</v>
      </c>
      <c r="E7" s="61">
        <v>10</v>
      </c>
      <c r="F7" s="48" t="s">
        <v>53</v>
      </c>
      <c r="G7" s="50">
        <f>IF(H7/100=0.2,0.21,H7/100)</f>
        <v>0.45</v>
      </c>
      <c r="H7" s="61">
        <v>45</v>
      </c>
      <c r="I7" s="51">
        <f>D7-J7</f>
        <v>6.962025316455696</v>
      </c>
      <c r="J7" s="51">
        <f>D7*(G7-0.21)/0.79</f>
        <v>3.037974683544304</v>
      </c>
    </row>
    <row r="8" spans="2:17" x14ac:dyDescent="0.25">
      <c r="C8"/>
      <c r="D8"/>
      <c r="E8"/>
      <c r="F8"/>
      <c r="G8"/>
      <c r="H8"/>
      <c r="I8"/>
      <c r="J8"/>
    </row>
    <row r="9" spans="2:17" x14ac:dyDescent="0.25">
      <c r="B9" s="3"/>
      <c r="C9" s="4"/>
      <c r="D9" s="4"/>
      <c r="E9" s="4"/>
      <c r="F9" s="4"/>
      <c r="G9" s="4"/>
      <c r="H9" s="4"/>
      <c r="I9" s="4"/>
      <c r="J9" s="4"/>
    </row>
    <row r="10" spans="2:17" x14ac:dyDescent="0.25">
      <c r="B10" s="25" t="s">
        <v>36</v>
      </c>
      <c r="C10" s="29">
        <f>D10</f>
        <v>10</v>
      </c>
      <c r="D10" s="62">
        <v>10</v>
      </c>
      <c r="E10" s="68" t="s">
        <v>37</v>
      </c>
      <c r="F10" s="68"/>
      <c r="G10" s="68"/>
      <c r="H10" s="68"/>
      <c r="I10" s="28">
        <f>J10</f>
        <v>60</v>
      </c>
      <c r="J10" s="63">
        <v>60</v>
      </c>
    </row>
    <row r="11" spans="2:17" x14ac:dyDescent="0.25">
      <c r="C11" s="4"/>
      <c r="D11" s="4"/>
      <c r="E11" s="4"/>
      <c r="F11" s="4"/>
      <c r="G11" s="4"/>
      <c r="H11" s="4"/>
      <c r="I11" s="4"/>
      <c r="J11" s="4"/>
    </row>
    <row r="12" spans="2:17" x14ac:dyDescent="0.25">
      <c r="B12" s="26" t="s">
        <v>39</v>
      </c>
      <c r="C12" s="15"/>
      <c r="D12" s="15"/>
      <c r="E12" s="15"/>
      <c r="F12" s="15"/>
      <c r="G12" s="15"/>
      <c r="H12" s="15"/>
      <c r="I12" s="15"/>
      <c r="J12" s="15"/>
    </row>
    <row r="13" spans="2:17" x14ac:dyDescent="0.25">
      <c r="B13" s="27" t="s">
        <v>49</v>
      </c>
      <c r="C13" s="15">
        <v>50</v>
      </c>
      <c r="D13" s="15">
        <v>50</v>
      </c>
      <c r="E13" s="15">
        <v>50</v>
      </c>
      <c r="F13" s="15">
        <v>50</v>
      </c>
      <c r="G13" s="15">
        <v>50</v>
      </c>
      <c r="H13" s="15">
        <v>50</v>
      </c>
      <c r="I13" s="15">
        <v>50</v>
      </c>
      <c r="J13" s="15">
        <v>50</v>
      </c>
    </row>
    <row r="14" spans="2:17" x14ac:dyDescent="0.25">
      <c r="B14" s="27" t="s">
        <v>14</v>
      </c>
      <c r="C14" s="15">
        <v>1.25</v>
      </c>
      <c r="D14" s="15">
        <v>1.25</v>
      </c>
      <c r="E14" s="15">
        <v>1.25</v>
      </c>
      <c r="F14" s="15">
        <v>1.25</v>
      </c>
      <c r="G14" s="15">
        <v>1.25</v>
      </c>
      <c r="H14" s="15">
        <v>1.25</v>
      </c>
      <c r="I14" s="15">
        <v>1.25</v>
      </c>
      <c r="J14" s="15">
        <v>1.25</v>
      </c>
    </row>
    <row r="15" spans="2:17" x14ac:dyDescent="0.25">
      <c r="B15" s="27" t="s">
        <v>15</v>
      </c>
      <c r="C15" s="15" t="s">
        <v>1</v>
      </c>
      <c r="D15" s="15" t="s">
        <v>1</v>
      </c>
      <c r="E15" s="15" t="s">
        <v>1</v>
      </c>
      <c r="F15" s="15" t="s">
        <v>2</v>
      </c>
      <c r="G15" s="15" t="s">
        <v>2</v>
      </c>
      <c r="H15" s="15" t="s">
        <v>3</v>
      </c>
      <c r="I15" s="15" t="s">
        <v>3</v>
      </c>
      <c r="J15" s="15" t="s">
        <v>3</v>
      </c>
    </row>
    <row r="16" spans="2:17" x14ac:dyDescent="0.25">
      <c r="B16" s="27" t="s">
        <v>16</v>
      </c>
      <c r="C16" s="15">
        <v>2700</v>
      </c>
      <c r="D16" s="15">
        <v>2700</v>
      </c>
      <c r="E16" s="15">
        <v>2700</v>
      </c>
      <c r="F16" s="15">
        <v>2700</v>
      </c>
      <c r="G16" s="15">
        <v>2700</v>
      </c>
      <c r="H16" s="15">
        <v>2700</v>
      </c>
      <c r="I16" s="15">
        <v>2700</v>
      </c>
      <c r="J16" s="15">
        <v>2700</v>
      </c>
    </row>
    <row r="17" spans="2:10" s="3" customFormat="1" x14ac:dyDescent="0.25">
      <c r="B17" s="13" t="s">
        <v>50</v>
      </c>
      <c r="C17" s="14">
        <f>ROUNDDOWN(C16/$C$10, 0)</f>
        <v>270</v>
      </c>
      <c r="D17" s="14">
        <f>ROUNDDOWN(D16/$C$10, 0)</f>
        <v>270</v>
      </c>
      <c r="E17" s="14">
        <f>ROUNDDOWN(E16/$C$10, 0)</f>
        <v>270</v>
      </c>
      <c r="F17" s="14">
        <f t="shared" ref="F17:J17" si="0">ROUNDDOWN(F16/$C$10, 0)</f>
        <v>270</v>
      </c>
      <c r="G17" s="14">
        <f>ROUNDDOWN(G16/$C$10, 0)</f>
        <v>270</v>
      </c>
      <c r="H17" s="14">
        <f t="shared" si="0"/>
        <v>270</v>
      </c>
      <c r="I17" s="14">
        <f t="shared" si="0"/>
        <v>270</v>
      </c>
      <c r="J17" s="14">
        <f t="shared" si="0"/>
        <v>270</v>
      </c>
    </row>
    <row r="18" spans="2:10" x14ac:dyDescent="0.25">
      <c r="B18" s="27" t="s">
        <v>17</v>
      </c>
      <c r="C18" s="15">
        <v>0.75</v>
      </c>
      <c r="D18" s="15">
        <v>0.75</v>
      </c>
      <c r="E18" s="15">
        <v>0.75</v>
      </c>
      <c r="F18" s="15">
        <v>0.75</v>
      </c>
      <c r="G18" s="15">
        <v>0.75</v>
      </c>
      <c r="H18" s="15">
        <v>0.75</v>
      </c>
      <c r="I18" s="15">
        <v>0.75</v>
      </c>
      <c r="J18" s="15">
        <v>0.75</v>
      </c>
    </row>
    <row r="19" spans="2:10" x14ac:dyDescent="0.25">
      <c r="B19" s="27" t="s">
        <v>59</v>
      </c>
      <c r="C19" s="15">
        <v>700</v>
      </c>
      <c r="D19" s="15">
        <v>700</v>
      </c>
      <c r="E19" s="15">
        <v>700</v>
      </c>
      <c r="F19" s="15">
        <v>700</v>
      </c>
      <c r="G19" s="15">
        <v>700</v>
      </c>
      <c r="H19" s="15">
        <v>700</v>
      </c>
      <c r="I19" s="15">
        <v>700</v>
      </c>
      <c r="J19" s="15">
        <v>700</v>
      </c>
    </row>
    <row r="20" spans="2:10" s="3" customFormat="1" x14ac:dyDescent="0.25">
      <c r="B20" s="13" t="s">
        <v>51</v>
      </c>
      <c r="C20" s="14">
        <f>ROUNDDOWN(C19/$C$10, 0)</f>
        <v>70</v>
      </c>
      <c r="D20" s="14">
        <f>ROUNDDOWN(D19/$C$10, 0)</f>
        <v>70</v>
      </c>
      <c r="E20" s="14">
        <f>ROUNDDOWN(E19/$C$10, 0)</f>
        <v>70</v>
      </c>
      <c r="F20" s="14">
        <f t="shared" ref="F20:J20" si="1">ROUNDDOWN(F19/$C$10, 0)</f>
        <v>70</v>
      </c>
      <c r="G20" s="14">
        <f>ROUNDDOWN(G19/$C$10, 0)</f>
        <v>70</v>
      </c>
      <c r="H20" s="14">
        <f t="shared" si="1"/>
        <v>70</v>
      </c>
      <c r="I20" s="14">
        <f t="shared" si="1"/>
        <v>70</v>
      </c>
      <c r="J20" s="14">
        <f t="shared" si="1"/>
        <v>70</v>
      </c>
    </row>
    <row r="21" spans="2:10" x14ac:dyDescent="0.25">
      <c r="B21" s="27" t="s">
        <v>18</v>
      </c>
      <c r="C21" s="15">
        <v>0.5</v>
      </c>
      <c r="D21" s="15">
        <v>0.5</v>
      </c>
      <c r="E21" s="15">
        <v>0.5</v>
      </c>
      <c r="F21" s="15">
        <v>0.5</v>
      </c>
      <c r="G21" s="15">
        <v>0.5</v>
      </c>
      <c r="H21" s="15">
        <v>0.5</v>
      </c>
      <c r="I21" s="15">
        <v>0.5</v>
      </c>
      <c r="J21" s="15">
        <v>0.5</v>
      </c>
    </row>
    <row r="22" spans="2:10" x14ac:dyDescent="0.25">
      <c r="B22" s="27" t="s">
        <v>58</v>
      </c>
      <c r="C22" s="15">
        <v>260</v>
      </c>
      <c r="D22" s="15">
        <v>260</v>
      </c>
      <c r="E22" s="15">
        <v>260</v>
      </c>
      <c r="F22" s="15">
        <v>260</v>
      </c>
      <c r="G22" s="15">
        <v>260</v>
      </c>
      <c r="H22" s="15">
        <v>260</v>
      </c>
      <c r="I22" s="15">
        <v>260</v>
      </c>
      <c r="J22" s="15">
        <v>260</v>
      </c>
    </row>
    <row r="23" spans="2:10" s="3" customFormat="1" x14ac:dyDescent="0.25">
      <c r="B23" s="13" t="s">
        <v>52</v>
      </c>
      <c r="C23" s="14">
        <f>ROUNDDOWN(C22/$C$10, 0)</f>
        <v>26</v>
      </c>
      <c r="D23" s="14">
        <f>ROUNDDOWN(D22/$C$10, 0)</f>
        <v>26</v>
      </c>
      <c r="E23" s="14">
        <f>ROUNDDOWN(E22/$C$10, 0)</f>
        <v>26</v>
      </c>
      <c r="F23" s="14">
        <f t="shared" ref="F23:J23" si="2">ROUNDDOWN(F22/$C$10, 0)</f>
        <v>26</v>
      </c>
      <c r="G23" s="14">
        <f>ROUNDDOWN(G22/$C$10, 0)</f>
        <v>26</v>
      </c>
      <c r="H23" s="14">
        <f t="shared" si="2"/>
        <v>26</v>
      </c>
      <c r="I23" s="14">
        <f t="shared" si="2"/>
        <v>26</v>
      </c>
      <c r="J23" s="14">
        <f t="shared" si="2"/>
        <v>26</v>
      </c>
    </row>
    <row r="24" spans="2:10" s="3" customFormat="1" ht="15.75" thickBot="1" x14ac:dyDescent="0.3">
      <c r="B24" s="13"/>
      <c r="C24" s="14"/>
      <c r="D24" s="14"/>
      <c r="E24" s="14"/>
      <c r="F24" s="14"/>
      <c r="G24" s="14"/>
      <c r="H24" s="14"/>
      <c r="I24" s="14"/>
      <c r="J24" s="14"/>
    </row>
    <row r="25" spans="2:10" x14ac:dyDescent="0.25">
      <c r="B25" s="30" t="s">
        <v>35</v>
      </c>
      <c r="C25" s="32">
        <f>C4</f>
        <v>8</v>
      </c>
      <c r="D25" s="32">
        <f t="shared" ref="D25:J25" si="3">D4</f>
        <v>10</v>
      </c>
      <c r="E25" s="32">
        <f t="shared" si="3"/>
        <v>11</v>
      </c>
      <c r="F25" s="32">
        <f t="shared" si="3"/>
        <v>17</v>
      </c>
      <c r="G25" s="32">
        <f t="shared" si="3"/>
        <v>10</v>
      </c>
      <c r="H25" s="32">
        <f t="shared" si="3"/>
        <v>18</v>
      </c>
      <c r="I25" s="32">
        <f t="shared" si="3"/>
        <v>10</v>
      </c>
      <c r="J25" s="33">
        <f t="shared" si="3"/>
        <v>10</v>
      </c>
    </row>
    <row r="26" spans="2:10" ht="15.75" thickBot="1" x14ac:dyDescent="0.3">
      <c r="B26" s="31" t="s">
        <v>42</v>
      </c>
      <c r="C26" s="34">
        <f>C23/C25</f>
        <v>3.25</v>
      </c>
      <c r="D26" s="34">
        <f t="shared" ref="D26:J26" si="4">D23/D25</f>
        <v>2.6</v>
      </c>
      <c r="E26" s="34">
        <f t="shared" si="4"/>
        <v>2.3636363636363638</v>
      </c>
      <c r="F26" s="34">
        <f t="shared" si="4"/>
        <v>1.5294117647058822</v>
      </c>
      <c r="G26" s="34">
        <f t="shared" si="4"/>
        <v>2.6</v>
      </c>
      <c r="H26" s="34">
        <f t="shared" si="4"/>
        <v>1.4444444444444444</v>
      </c>
      <c r="I26" s="34">
        <f t="shared" si="4"/>
        <v>2.6</v>
      </c>
      <c r="J26" s="35">
        <f t="shared" si="4"/>
        <v>2.6</v>
      </c>
    </row>
    <row r="27" spans="2:10" x14ac:dyDescent="0.25">
      <c r="B27" s="36" t="s">
        <v>35</v>
      </c>
      <c r="C27" s="37">
        <f>C4</f>
        <v>8</v>
      </c>
      <c r="D27" s="37">
        <f t="shared" ref="D27:J27" si="5">D4</f>
        <v>10</v>
      </c>
      <c r="E27" s="37">
        <f t="shared" si="5"/>
        <v>11</v>
      </c>
      <c r="F27" s="37">
        <f t="shared" si="5"/>
        <v>17</v>
      </c>
      <c r="G27" s="37">
        <f t="shared" si="5"/>
        <v>10</v>
      </c>
      <c r="H27" s="37">
        <f t="shared" si="5"/>
        <v>18</v>
      </c>
      <c r="I27" s="37">
        <f t="shared" si="5"/>
        <v>10</v>
      </c>
      <c r="J27" s="38">
        <f t="shared" si="5"/>
        <v>10</v>
      </c>
    </row>
    <row r="28" spans="2:10" x14ac:dyDescent="0.25">
      <c r="B28" s="40" t="s">
        <v>21</v>
      </c>
      <c r="C28" s="41">
        <f>C27*$I$10</f>
        <v>480</v>
      </c>
      <c r="D28" s="41">
        <f t="shared" ref="D28:J28" si="6">D27*$I$10</f>
        <v>600</v>
      </c>
      <c r="E28" s="41">
        <f t="shared" si="6"/>
        <v>660</v>
      </c>
      <c r="F28" s="41">
        <f t="shared" si="6"/>
        <v>1020</v>
      </c>
      <c r="G28" s="41">
        <f t="shared" si="6"/>
        <v>600</v>
      </c>
      <c r="H28" s="41">
        <f t="shared" si="6"/>
        <v>1080</v>
      </c>
      <c r="I28" s="41">
        <f t="shared" si="6"/>
        <v>600</v>
      </c>
      <c r="J28" s="42">
        <f t="shared" si="6"/>
        <v>600</v>
      </c>
    </row>
    <row r="29" spans="2:10" x14ac:dyDescent="0.25">
      <c r="B29" s="56" t="s">
        <v>47</v>
      </c>
      <c r="C29" s="57">
        <f>50-(1.06/C19)*C28</f>
        <v>49.273142857142858</v>
      </c>
      <c r="D29" s="57">
        <f t="shared" ref="D29" si="7">50-(1.06/D19)*D28</f>
        <v>49.091428571428573</v>
      </c>
      <c r="E29" s="57">
        <f t="shared" ref="E29" si="8">50-(1.06/E19)*E28</f>
        <v>49.000571428571426</v>
      </c>
      <c r="F29" s="57">
        <f t="shared" ref="F29" si="9">50-(1.06/F19)*F28</f>
        <v>48.45542857142857</v>
      </c>
      <c r="G29" s="57">
        <f t="shared" ref="G29" si="10">50-(1.06/G19)*G28</f>
        <v>49.091428571428573</v>
      </c>
      <c r="H29" s="57">
        <f t="shared" ref="H29" si="11">50-(1.06/H19)*H28</f>
        <v>48.364571428571431</v>
      </c>
      <c r="I29" s="57">
        <f t="shared" ref="I29" si="12">50-(1.06/I19)*I28</f>
        <v>49.091428571428573</v>
      </c>
      <c r="J29" s="58">
        <f t="shared" ref="J29" si="13">50-(1.06/J19)*J28</f>
        <v>49.091428571428573</v>
      </c>
    </row>
    <row r="30" spans="2:10" ht="15.75" thickBot="1" x14ac:dyDescent="0.3">
      <c r="B30" s="31" t="s">
        <v>48</v>
      </c>
      <c r="C30" s="59">
        <f>C29-(1.06/C22)*C28</f>
        <v>47.316219780219782</v>
      </c>
      <c r="D30" s="59">
        <f t="shared" ref="D30" si="14">D29-(1.06/D22)*D28</f>
        <v>46.645274725274724</v>
      </c>
      <c r="E30" s="59">
        <f t="shared" ref="E30" si="15">E29-(1.06/E22)*E28</f>
        <v>46.309802197802199</v>
      </c>
      <c r="F30" s="59">
        <f t="shared" ref="F30" si="16">F29-(1.06/F22)*F28</f>
        <v>44.296967032967032</v>
      </c>
      <c r="G30" s="59">
        <f t="shared" ref="G30" si="17">G29-(1.06/G22)*G28</f>
        <v>46.645274725274724</v>
      </c>
      <c r="H30" s="59">
        <f t="shared" ref="H30" si="18">H29-(1.06/H22)*H28</f>
        <v>43.961494505494507</v>
      </c>
      <c r="I30" s="59">
        <f t="shared" ref="I30" si="19">I29-(1.06/I22)*I28</f>
        <v>46.645274725274724</v>
      </c>
      <c r="J30" s="60">
        <f t="shared" ref="J30" si="20">J29-(1.06/J22)*J28</f>
        <v>46.645274725274724</v>
      </c>
    </row>
    <row r="31" spans="2:10" x14ac:dyDescent="0.25">
      <c r="C31"/>
      <c r="D31"/>
      <c r="E31"/>
      <c r="F31"/>
      <c r="G31"/>
      <c r="H31"/>
      <c r="I31"/>
      <c r="J31"/>
    </row>
    <row r="33" spans="2:18" x14ac:dyDescent="0.25">
      <c r="B33" s="5" t="s">
        <v>40</v>
      </c>
    </row>
    <row r="34" spans="2:18" x14ac:dyDescent="0.25">
      <c r="B34" s="6" t="s">
        <v>49</v>
      </c>
      <c r="C34" s="7">
        <v>50</v>
      </c>
      <c r="D34" s="7">
        <v>50</v>
      </c>
      <c r="E34" s="7">
        <v>50</v>
      </c>
      <c r="F34" s="7">
        <v>50</v>
      </c>
      <c r="G34" s="7">
        <v>50</v>
      </c>
      <c r="H34" s="7">
        <v>50</v>
      </c>
      <c r="I34" s="7">
        <v>50</v>
      </c>
      <c r="J34" s="7">
        <v>50</v>
      </c>
      <c r="R34" t="s">
        <v>19</v>
      </c>
    </row>
    <row r="35" spans="2:18" x14ac:dyDescent="0.25">
      <c r="B35" s="6" t="s">
        <v>14</v>
      </c>
      <c r="C35" s="7">
        <v>1.25</v>
      </c>
      <c r="D35" s="7">
        <v>1.25</v>
      </c>
      <c r="E35" s="7">
        <v>1.25</v>
      </c>
      <c r="F35" s="7">
        <v>1.25</v>
      </c>
      <c r="G35" s="7">
        <v>1.25</v>
      </c>
      <c r="H35" s="7">
        <v>1.25</v>
      </c>
      <c r="I35" s="7">
        <v>1.25</v>
      </c>
      <c r="J35" s="7">
        <v>1.25</v>
      </c>
      <c r="R35">
        <f xml:space="preserve"> 1.06/660</f>
        <v>1.6060606060606061E-3</v>
      </c>
    </row>
    <row r="36" spans="2:18" x14ac:dyDescent="0.25">
      <c r="B36" s="6" t="s">
        <v>15</v>
      </c>
      <c r="C36" s="7" t="s">
        <v>1</v>
      </c>
      <c r="D36" s="7" t="s">
        <v>1</v>
      </c>
      <c r="E36" s="7" t="s">
        <v>1</v>
      </c>
      <c r="F36" s="7" t="s">
        <v>2</v>
      </c>
      <c r="G36" s="7" t="s">
        <v>2</v>
      </c>
      <c r="H36" s="7" t="s">
        <v>3</v>
      </c>
      <c r="I36" s="7" t="s">
        <v>3</v>
      </c>
      <c r="J36" s="7" t="s">
        <v>3</v>
      </c>
      <c r="R36" t="s">
        <v>20</v>
      </c>
    </row>
    <row r="37" spans="2:18" x14ac:dyDescent="0.25">
      <c r="B37" s="6" t="s">
        <v>16</v>
      </c>
      <c r="C37" s="7">
        <v>2600</v>
      </c>
      <c r="D37" s="7">
        <v>2600</v>
      </c>
      <c r="E37" s="7">
        <v>2600</v>
      </c>
      <c r="F37" s="7">
        <v>2600</v>
      </c>
      <c r="G37" s="7">
        <v>2600</v>
      </c>
      <c r="H37" s="7">
        <v>2600</v>
      </c>
      <c r="I37" s="7">
        <v>2600</v>
      </c>
      <c r="J37" s="7">
        <v>2600</v>
      </c>
      <c r="R37">
        <f>C10*R35</f>
        <v>1.606060606060606E-2</v>
      </c>
    </row>
    <row r="38" spans="2:18" x14ac:dyDescent="0.25">
      <c r="B38" s="8" t="s">
        <v>50</v>
      </c>
      <c r="C38" s="9">
        <f>ROUNDDOWN(C37/$I$10, 0)</f>
        <v>43</v>
      </c>
      <c r="D38" s="9">
        <f t="shared" ref="D38:J38" si="21">ROUNDDOWN(D37/$I$10, 0)</f>
        <v>43</v>
      </c>
      <c r="E38" s="9">
        <f t="shared" si="21"/>
        <v>43</v>
      </c>
      <c r="F38" s="9">
        <f t="shared" si="21"/>
        <v>43</v>
      </c>
      <c r="G38" s="9">
        <f t="shared" si="21"/>
        <v>43</v>
      </c>
      <c r="H38" s="9">
        <f t="shared" si="21"/>
        <v>43</v>
      </c>
      <c r="I38" s="9">
        <f t="shared" si="21"/>
        <v>43</v>
      </c>
      <c r="J38" s="9">
        <f t="shared" si="21"/>
        <v>43</v>
      </c>
    </row>
    <row r="39" spans="2:18" x14ac:dyDescent="0.25">
      <c r="B39" s="6" t="s">
        <v>17</v>
      </c>
      <c r="C39" s="7">
        <v>0.75</v>
      </c>
      <c r="D39" s="7">
        <v>0.75</v>
      </c>
      <c r="E39" s="7">
        <v>0.75</v>
      </c>
      <c r="F39" s="7">
        <v>0.75</v>
      </c>
      <c r="G39" s="7">
        <v>0.75</v>
      </c>
      <c r="H39" s="7">
        <v>0.75</v>
      </c>
      <c r="I39" s="7">
        <v>0.75</v>
      </c>
      <c r="J39" s="7">
        <v>0.75</v>
      </c>
    </row>
    <row r="40" spans="2:18" x14ac:dyDescent="0.25">
      <c r="B40" s="6" t="s">
        <v>59</v>
      </c>
      <c r="C40" s="7">
        <v>660</v>
      </c>
      <c r="D40" s="7">
        <v>660</v>
      </c>
      <c r="E40" s="7">
        <v>660</v>
      </c>
      <c r="F40" s="7">
        <v>660</v>
      </c>
      <c r="G40" s="7">
        <v>660</v>
      </c>
      <c r="H40" s="7">
        <v>660</v>
      </c>
      <c r="I40" s="7">
        <v>660</v>
      </c>
      <c r="J40" s="7">
        <v>660</v>
      </c>
    </row>
    <row r="41" spans="2:18" x14ac:dyDescent="0.25">
      <c r="B41" s="8" t="s">
        <v>51</v>
      </c>
      <c r="C41" s="9">
        <f>ROUNDDOWN(C40/$I$10, 0)</f>
        <v>11</v>
      </c>
      <c r="D41" s="9">
        <f t="shared" ref="D41:J41" si="22">ROUNDDOWN(D40/$I$10, 0)</f>
        <v>11</v>
      </c>
      <c r="E41" s="9">
        <f t="shared" si="22"/>
        <v>11</v>
      </c>
      <c r="F41" s="9">
        <f t="shared" si="22"/>
        <v>11</v>
      </c>
      <c r="G41" s="9">
        <f t="shared" si="22"/>
        <v>11</v>
      </c>
      <c r="H41" s="9">
        <f t="shared" si="22"/>
        <v>11</v>
      </c>
      <c r="I41" s="9">
        <f t="shared" si="22"/>
        <v>11</v>
      </c>
      <c r="J41" s="9">
        <f t="shared" si="22"/>
        <v>11</v>
      </c>
    </row>
    <row r="42" spans="2:18" x14ac:dyDescent="0.25">
      <c r="B42" s="6" t="s">
        <v>18</v>
      </c>
      <c r="C42" s="7">
        <v>0.5</v>
      </c>
      <c r="D42" s="7">
        <v>0.5</v>
      </c>
      <c r="E42" s="7">
        <v>0.5</v>
      </c>
      <c r="F42" s="7">
        <v>0.5</v>
      </c>
      <c r="G42" s="7">
        <v>0.5</v>
      </c>
      <c r="H42" s="7">
        <v>0.5</v>
      </c>
      <c r="I42" s="7">
        <v>0.5</v>
      </c>
      <c r="J42" s="7">
        <v>0.5</v>
      </c>
    </row>
    <row r="43" spans="2:18" x14ac:dyDescent="0.25">
      <c r="B43" s="6" t="s">
        <v>58</v>
      </c>
      <c r="C43" s="7">
        <v>260</v>
      </c>
      <c r="D43" s="7">
        <v>260</v>
      </c>
      <c r="E43" s="7">
        <v>260</v>
      </c>
      <c r="F43" s="7">
        <v>260</v>
      </c>
      <c r="G43" s="7">
        <v>260</v>
      </c>
      <c r="H43" s="7">
        <v>260</v>
      </c>
      <c r="I43" s="7">
        <v>260</v>
      </c>
      <c r="J43" s="7">
        <v>260</v>
      </c>
    </row>
    <row r="44" spans="2:18" x14ac:dyDescent="0.25">
      <c r="B44" s="8" t="s">
        <v>52</v>
      </c>
      <c r="C44" s="9">
        <f>ROUNDDOWN(C43/$I$10, 0)</f>
        <v>4</v>
      </c>
      <c r="D44" s="9">
        <f t="shared" ref="D44:J44" si="23">ROUNDDOWN(D43/$I$10, 0)</f>
        <v>4</v>
      </c>
      <c r="E44" s="9">
        <f t="shared" si="23"/>
        <v>4</v>
      </c>
      <c r="F44" s="9">
        <f t="shared" si="23"/>
        <v>4</v>
      </c>
      <c r="G44" s="9">
        <f t="shared" si="23"/>
        <v>4</v>
      </c>
      <c r="H44" s="9">
        <f t="shared" si="23"/>
        <v>4</v>
      </c>
      <c r="I44" s="9">
        <f t="shared" si="23"/>
        <v>4</v>
      </c>
      <c r="J44" s="9">
        <f t="shared" si="23"/>
        <v>4</v>
      </c>
    </row>
    <row r="45" spans="2:18" ht="15.75" thickBot="1" x14ac:dyDescent="0.3"/>
    <row r="46" spans="2:18" x14ac:dyDescent="0.25">
      <c r="B46" s="36" t="s">
        <v>35</v>
      </c>
      <c r="C46" s="37">
        <f t="shared" ref="C46:J46" si="24">C4</f>
        <v>8</v>
      </c>
      <c r="D46" s="37">
        <f t="shared" si="24"/>
        <v>10</v>
      </c>
      <c r="E46" s="37">
        <f t="shared" si="24"/>
        <v>11</v>
      </c>
      <c r="F46" s="37">
        <f t="shared" si="24"/>
        <v>17</v>
      </c>
      <c r="G46" s="37">
        <f t="shared" si="24"/>
        <v>10</v>
      </c>
      <c r="H46" s="37">
        <f t="shared" si="24"/>
        <v>18</v>
      </c>
      <c r="I46" s="37">
        <f t="shared" si="24"/>
        <v>10</v>
      </c>
      <c r="J46" s="38">
        <f t="shared" si="24"/>
        <v>10</v>
      </c>
    </row>
    <row r="47" spans="2:18" ht="15.75" thickBot="1" x14ac:dyDescent="0.3">
      <c r="B47" s="39" t="s">
        <v>73</v>
      </c>
      <c r="C47" s="10">
        <f>C44/C46</f>
        <v>0.5</v>
      </c>
      <c r="D47" s="10">
        <f t="shared" ref="D47:J47" si="25">D44/D46</f>
        <v>0.4</v>
      </c>
      <c r="E47" s="10">
        <f t="shared" si="25"/>
        <v>0.36363636363636365</v>
      </c>
      <c r="F47" s="10">
        <f t="shared" si="25"/>
        <v>0.23529411764705882</v>
      </c>
      <c r="G47" s="10">
        <f t="shared" si="25"/>
        <v>0.4</v>
      </c>
      <c r="H47" s="10">
        <f t="shared" si="25"/>
        <v>0.22222222222222221</v>
      </c>
      <c r="I47" s="10">
        <f t="shared" si="25"/>
        <v>0.4</v>
      </c>
      <c r="J47" s="11">
        <f t="shared" si="25"/>
        <v>0.4</v>
      </c>
    </row>
    <row r="48" spans="2:18" x14ac:dyDescent="0.25">
      <c r="B48" s="36" t="s">
        <v>35</v>
      </c>
      <c r="C48" s="37">
        <f t="shared" ref="C48:J48" si="26">C4</f>
        <v>8</v>
      </c>
      <c r="D48" s="37">
        <f t="shared" si="26"/>
        <v>10</v>
      </c>
      <c r="E48" s="37">
        <f t="shared" si="26"/>
        <v>11</v>
      </c>
      <c r="F48" s="37">
        <f t="shared" si="26"/>
        <v>17</v>
      </c>
      <c r="G48" s="37">
        <f t="shared" si="26"/>
        <v>10</v>
      </c>
      <c r="H48" s="37">
        <f t="shared" si="26"/>
        <v>18</v>
      </c>
      <c r="I48" s="37">
        <f t="shared" si="26"/>
        <v>10</v>
      </c>
      <c r="J48" s="38">
        <f t="shared" si="26"/>
        <v>10</v>
      </c>
    </row>
    <row r="49" spans="2:17" x14ac:dyDescent="0.25">
      <c r="B49" s="40" t="s">
        <v>21</v>
      </c>
      <c r="C49" s="41">
        <f>C48*$I$10</f>
        <v>480</v>
      </c>
      <c r="D49" s="41">
        <f t="shared" ref="D49:J49" si="27">D48*$I$10</f>
        <v>600</v>
      </c>
      <c r="E49" s="41">
        <f t="shared" si="27"/>
        <v>660</v>
      </c>
      <c r="F49" s="41">
        <f t="shared" si="27"/>
        <v>1020</v>
      </c>
      <c r="G49" s="41">
        <f t="shared" si="27"/>
        <v>600</v>
      </c>
      <c r="H49" s="41">
        <f t="shared" si="27"/>
        <v>1080</v>
      </c>
      <c r="I49" s="41">
        <f t="shared" si="27"/>
        <v>600</v>
      </c>
      <c r="J49" s="42">
        <f t="shared" si="27"/>
        <v>600</v>
      </c>
    </row>
    <row r="50" spans="2:17" x14ac:dyDescent="0.25">
      <c r="B50" s="52" t="s">
        <v>47</v>
      </c>
      <c r="C50" s="43">
        <f>50-(1.06/C40)*C49</f>
        <v>49.229090909090907</v>
      </c>
      <c r="D50" s="43">
        <f t="shared" ref="D50:J50" si="28">50-(1.06/D40)*D49</f>
        <v>49.036363636363639</v>
      </c>
      <c r="E50" s="43">
        <f t="shared" si="28"/>
        <v>48.94</v>
      </c>
      <c r="F50" s="43">
        <f t="shared" si="28"/>
        <v>48.36181818181818</v>
      </c>
      <c r="G50" s="43">
        <f t="shared" si="28"/>
        <v>49.036363636363639</v>
      </c>
      <c r="H50" s="43">
        <f t="shared" si="28"/>
        <v>48.265454545454546</v>
      </c>
      <c r="I50" s="43">
        <f t="shared" si="28"/>
        <v>49.036363636363639</v>
      </c>
      <c r="J50" s="53">
        <f t="shared" si="28"/>
        <v>49.036363636363639</v>
      </c>
    </row>
    <row r="51" spans="2:17" ht="15.75" thickBot="1" x14ac:dyDescent="0.3">
      <c r="B51" s="44" t="s">
        <v>48</v>
      </c>
      <c r="C51" s="54">
        <f>C50-(1.06/C43)*C49</f>
        <v>47.272167832167831</v>
      </c>
      <c r="D51" s="54">
        <f t="shared" ref="D51:J51" si="29">D50-(1.06/D43)*D49</f>
        <v>46.590209790209791</v>
      </c>
      <c r="E51" s="54">
        <f t="shared" si="29"/>
        <v>46.249230769230763</v>
      </c>
      <c r="F51" s="54">
        <f t="shared" si="29"/>
        <v>44.203356643356642</v>
      </c>
      <c r="G51" s="54">
        <f t="shared" si="29"/>
        <v>46.590209790209791</v>
      </c>
      <c r="H51" s="54">
        <f t="shared" si="29"/>
        <v>43.862377622377622</v>
      </c>
      <c r="I51" s="54">
        <f t="shared" si="29"/>
        <v>46.590209790209791</v>
      </c>
      <c r="J51" s="55">
        <f t="shared" si="29"/>
        <v>46.590209790209791</v>
      </c>
    </row>
    <row r="53" spans="2:17" x14ac:dyDescent="0.25">
      <c r="B53" s="26" t="s">
        <v>43</v>
      </c>
      <c r="C53" s="4" t="s">
        <v>1</v>
      </c>
      <c r="D53" s="4" t="s">
        <v>22</v>
      </c>
      <c r="E53" s="4" t="s">
        <v>3</v>
      </c>
      <c r="G53" s="4"/>
    </row>
    <row r="54" spans="2:17" x14ac:dyDescent="0.25">
      <c r="B54" s="12" t="s">
        <v>45</v>
      </c>
      <c r="C54" s="1">
        <f>C4+D4+E4</f>
        <v>29</v>
      </c>
      <c r="D54" s="1">
        <f>F4+G4</f>
        <v>27</v>
      </c>
      <c r="E54" s="1">
        <f>H4+I4+J4</f>
        <v>38</v>
      </c>
    </row>
    <row r="55" spans="2:17" x14ac:dyDescent="0.25">
      <c r="B55" s="12" t="s">
        <v>23</v>
      </c>
      <c r="C55" s="1">
        <f>C16</f>
        <v>2700</v>
      </c>
      <c r="D55" s="1">
        <f>F16</f>
        <v>2700</v>
      </c>
      <c r="E55" s="1">
        <f>H16</f>
        <v>2700</v>
      </c>
    </row>
    <row r="56" spans="2:17" x14ac:dyDescent="0.25">
      <c r="B56" s="13" t="s">
        <v>24</v>
      </c>
      <c r="C56" s="14">
        <f>ROUNDDOWN(C55/$C$10, 0)</f>
        <v>270</v>
      </c>
      <c r="D56" s="14">
        <f>ROUNDDOWN(D55/$C$10, 0)</f>
        <v>270</v>
      </c>
      <c r="E56" s="14">
        <f>ROUNDDOWN(E55/$C$10, 0)</f>
        <v>270</v>
      </c>
      <c r="G56" s="15"/>
    </row>
    <row r="57" spans="2:17" x14ac:dyDescent="0.25">
      <c r="B57" s="13" t="s">
        <v>25</v>
      </c>
      <c r="C57" s="16">
        <f>C56/C54</f>
        <v>9.3103448275862064</v>
      </c>
      <c r="D57" s="16">
        <f>D56/D54</f>
        <v>10</v>
      </c>
      <c r="E57" s="16">
        <f>E56/E54</f>
        <v>7.1052631578947372</v>
      </c>
      <c r="G57" s="15"/>
    </row>
    <row r="58" spans="2:17" x14ac:dyDescent="0.25">
      <c r="B58" s="5" t="s">
        <v>44</v>
      </c>
    </row>
    <row r="59" spans="2:17" x14ac:dyDescent="0.25">
      <c r="B59" s="12" t="s">
        <v>26</v>
      </c>
      <c r="C59" s="1">
        <f>C37</f>
        <v>2600</v>
      </c>
      <c r="D59" s="1">
        <f>F37</f>
        <v>2600</v>
      </c>
      <c r="E59" s="1">
        <f>H37</f>
        <v>2600</v>
      </c>
    </row>
    <row r="60" spans="2:17" x14ac:dyDescent="0.25">
      <c r="B60" s="8" t="s">
        <v>27</v>
      </c>
      <c r="C60" s="9">
        <f>ROUNDDOWN(C59/$I$10, 0)</f>
        <v>43</v>
      </c>
      <c r="D60" s="9">
        <f>ROUNDDOWN(D59/$I$10, 0)</f>
        <v>43</v>
      </c>
      <c r="E60" s="9">
        <f>ROUNDDOWN(E59/$I$10, 0)</f>
        <v>43</v>
      </c>
      <c r="G60" s="7"/>
    </row>
    <row r="61" spans="2:17" x14ac:dyDescent="0.25">
      <c r="B61" s="8" t="s">
        <v>28</v>
      </c>
      <c r="C61" s="17">
        <f>C60/C54</f>
        <v>1.4827586206896552</v>
      </c>
      <c r="D61" s="17">
        <f>D60/D54</f>
        <v>1.5925925925925926</v>
      </c>
      <c r="E61" s="17">
        <f>E60/E54</f>
        <v>1.131578947368421</v>
      </c>
    </row>
    <row r="63" spans="2:17" s="1" customFormat="1" x14ac:dyDescent="0.25">
      <c r="B63"/>
      <c r="K63"/>
      <c r="L63"/>
      <c r="M63"/>
      <c r="N63"/>
      <c r="O63"/>
      <c r="P63"/>
      <c r="Q63"/>
    </row>
    <row r="69" spans="2:2" x14ac:dyDescent="0.25">
      <c r="B69" s="3" t="s">
        <v>29</v>
      </c>
    </row>
    <row r="70" spans="2:2" x14ac:dyDescent="0.25">
      <c r="B70" t="s">
        <v>41</v>
      </c>
    </row>
    <row r="71" spans="2:2" x14ac:dyDescent="0.25">
      <c r="B71" t="s">
        <v>56</v>
      </c>
    </row>
    <row r="72" spans="2:2" x14ac:dyDescent="0.25">
      <c r="B72" t="s">
        <v>57</v>
      </c>
    </row>
    <row r="73" spans="2:2" x14ac:dyDescent="0.25">
      <c r="B73" t="s">
        <v>30</v>
      </c>
    </row>
    <row r="74" spans="2:2" x14ac:dyDescent="0.25">
      <c r="B74" t="s">
        <v>46</v>
      </c>
    </row>
    <row r="76" spans="2:2" x14ac:dyDescent="0.25">
      <c r="B76" s="3" t="s">
        <v>31</v>
      </c>
    </row>
    <row r="77" spans="2:2" x14ac:dyDescent="0.25">
      <c r="B77" s="18" t="s">
        <v>32</v>
      </c>
    </row>
    <row r="78" spans="2:2" x14ac:dyDescent="0.25">
      <c r="B78" s="18" t="s">
        <v>33</v>
      </c>
    </row>
    <row r="79" spans="2:2" x14ac:dyDescent="0.25">
      <c r="B79" s="18" t="s">
        <v>34</v>
      </c>
    </row>
  </sheetData>
  <sheetProtection selectLockedCells="1"/>
  <mergeCells count="5">
    <mergeCell ref="L4:Q4"/>
    <mergeCell ref="C2:E2"/>
    <mergeCell ref="F2:G2"/>
    <mergeCell ref="H2:J2"/>
    <mergeCell ref="E10:H10"/>
  </mergeCells>
  <conditionalFormatting sqref="C47:J47">
    <cfRule type="cellIs" dxfId="22" priority="38" operator="lessThan">
      <formula>1</formula>
    </cfRule>
    <cfRule type="expression" dxfId="21" priority="39">
      <formula>$C$47&lt;1</formula>
    </cfRule>
  </conditionalFormatting>
  <conditionalFormatting sqref="C41:J41">
    <cfRule type="cellIs" dxfId="20" priority="37" operator="lessThan">
      <formula>$C$4</formula>
    </cfRule>
  </conditionalFormatting>
  <conditionalFormatting sqref="C4">
    <cfRule type="cellIs" dxfId="19" priority="27" operator="greaterThan">
      <formula>$C$41</formula>
    </cfRule>
  </conditionalFormatting>
  <conditionalFormatting sqref="D4">
    <cfRule type="cellIs" dxfId="18" priority="26" operator="greaterThan">
      <formula>$D$41</formula>
    </cfRule>
  </conditionalFormatting>
  <conditionalFormatting sqref="E4">
    <cfRule type="cellIs" dxfId="17" priority="25" operator="greaterThan">
      <formula>$E$41</formula>
    </cfRule>
  </conditionalFormatting>
  <conditionalFormatting sqref="F4">
    <cfRule type="cellIs" dxfId="16" priority="24" operator="greaterThan">
      <formula>$F$41</formula>
    </cfRule>
  </conditionalFormatting>
  <conditionalFormatting sqref="G4">
    <cfRule type="cellIs" dxfId="15" priority="23" operator="greaterThan">
      <formula>$G$41</formula>
    </cfRule>
  </conditionalFormatting>
  <conditionalFormatting sqref="H4">
    <cfRule type="cellIs" dxfId="14" priority="22" operator="greaterThan">
      <formula>$H$41</formula>
    </cfRule>
  </conditionalFormatting>
  <conditionalFormatting sqref="I4">
    <cfRule type="cellIs" dxfId="13" priority="21" operator="greaterThan">
      <formula>$I$41</formula>
    </cfRule>
  </conditionalFormatting>
  <conditionalFormatting sqref="J4">
    <cfRule type="cellIs" dxfId="12" priority="20" operator="greaterThan">
      <formula>$J$41</formula>
    </cfRule>
  </conditionalFormatting>
  <conditionalFormatting sqref="C46">
    <cfRule type="cellIs" dxfId="11" priority="19" operator="lessThan">
      <formula>$C$4</formula>
    </cfRule>
  </conditionalFormatting>
  <conditionalFormatting sqref="D46">
    <cfRule type="cellIs" dxfId="10" priority="18" operator="lessThan">
      <formula>$D$4</formula>
    </cfRule>
  </conditionalFormatting>
  <conditionalFormatting sqref="E46">
    <cfRule type="cellIs" dxfId="9" priority="17" operator="lessThan">
      <formula>$E$4</formula>
    </cfRule>
  </conditionalFormatting>
  <conditionalFormatting sqref="F46">
    <cfRule type="cellIs" dxfId="8" priority="16" operator="lessThan">
      <formula>$F$4</formula>
    </cfRule>
  </conditionalFormatting>
  <conditionalFormatting sqref="G46">
    <cfRule type="cellIs" dxfId="7" priority="15" operator="lessThan">
      <formula>$G$4</formula>
    </cfRule>
  </conditionalFormatting>
  <conditionalFormatting sqref="H46">
    <cfRule type="cellIs" dxfId="6" priority="14" operator="lessThan">
      <formula>$H$4</formula>
    </cfRule>
  </conditionalFormatting>
  <conditionalFormatting sqref="I46">
    <cfRule type="cellIs" dxfId="5" priority="13" operator="lessThan">
      <formula>$I$4</formula>
    </cfRule>
  </conditionalFormatting>
  <conditionalFormatting sqref="J46">
    <cfRule type="cellIs" dxfId="4" priority="12" operator="lessThan">
      <formula>$J$4</formula>
    </cfRule>
  </conditionalFormatting>
  <conditionalFormatting sqref="C26:J26">
    <cfRule type="cellIs" dxfId="3" priority="10" operator="lessThan">
      <formula>1</formula>
    </cfRule>
    <cfRule type="expression" dxfId="2" priority="11">
      <formula>$C$47&lt;1</formula>
    </cfRule>
  </conditionalFormatting>
  <conditionalFormatting sqref="C25">
    <cfRule type="cellIs" dxfId="1" priority="9" operator="lessThan">
      <formula>$C$4</formula>
    </cfRule>
  </conditionalFormatting>
  <conditionalFormatting sqref="D25:J25">
    <cfRule type="cellIs" dxfId="0" priority="1" operator="lessThan">
      <formula>$C$4</formula>
    </cfRule>
  </conditionalFormatting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35" r:id="rId4">
          <objectPr defaultSize="0" autoPict="0" r:id="rId5">
            <anchor moveWithCells="1">
              <from>
                <xdr:col>7</xdr:col>
                <xdr:colOff>504825</xdr:colOff>
                <xdr:row>71</xdr:row>
                <xdr:rowOff>114300</xdr:rowOff>
              </from>
              <to>
                <xdr:col>16</xdr:col>
                <xdr:colOff>590550</xdr:colOff>
                <xdr:row>89</xdr:row>
                <xdr:rowOff>85725</xdr:rowOff>
              </to>
            </anchor>
          </objectPr>
        </oleObject>
      </mc:Choice>
      <mc:Fallback>
        <oleObject progId="Visio.Drawing.15" shapeId="103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pinner 1">
              <controlPr defaultSize="0" autoPict="0">
                <anchor moveWithCells="1" sizeWithCells="1">
                  <from>
                    <xdr:col>2</xdr:col>
                    <xdr:colOff>561975</xdr:colOff>
                    <xdr:row>8</xdr:row>
                    <xdr:rowOff>142875</xdr:rowOff>
                  </from>
                  <to>
                    <xdr:col>3</xdr:col>
                    <xdr:colOff>257175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Spinner 2">
              <controlPr defaultSize="0" autoPict="0">
                <anchor moveWithCells="1" sizeWithCells="1">
                  <from>
                    <xdr:col>9</xdr:col>
                    <xdr:colOff>190500</xdr:colOff>
                    <xdr:row>8</xdr:row>
                    <xdr:rowOff>133350</xdr:rowOff>
                  </from>
                  <to>
                    <xdr:col>9</xdr:col>
                    <xdr:colOff>495300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Spinner 3">
              <controlPr defaultSize="0" autoPict="0">
                <anchor moveWithCells="1" sizeWithCells="1">
                  <from>
                    <xdr:col>3</xdr:col>
                    <xdr:colOff>552450</xdr:colOff>
                    <xdr:row>5</xdr:row>
                    <xdr:rowOff>171450</xdr:rowOff>
                  </from>
                  <to>
                    <xdr:col>4</xdr:col>
                    <xdr:colOff>247650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Spinner 4">
              <controlPr defaultSize="0" autoPict="0">
                <anchor moveWithCells="1" sizeWithCells="1">
                  <from>
                    <xdr:col>7</xdr:col>
                    <xdr:colOff>9525</xdr:colOff>
                    <xdr:row>5</xdr:row>
                    <xdr:rowOff>152400</xdr:rowOff>
                  </from>
                  <to>
                    <xdr:col>7</xdr:col>
                    <xdr:colOff>314325</xdr:colOff>
                    <xdr:row>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Procedure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chatburn</dc:creator>
  <cp:lastModifiedBy>robert chatburn</cp:lastModifiedBy>
  <dcterms:created xsi:type="dcterms:W3CDTF">2021-01-04T17:05:28Z</dcterms:created>
  <dcterms:modified xsi:type="dcterms:W3CDTF">2021-01-21T14:14:47Z</dcterms:modified>
</cp:coreProperties>
</file>